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2120" windowHeight="7275" tabRatio="595" activeTab="0"/>
  </bookViews>
  <sheets>
    <sheet name="TUTTI a 7,1" sheetId="1" r:id="rId1"/>
  </sheets>
  <definedNames>
    <definedName name="_xlnm.Print_Area" localSheetId="0">'TUTTI a 7,1'!$A$1:$P$34</definedName>
  </definedNames>
  <calcPr fullCalcOnLoad="1"/>
</workbook>
</file>

<file path=xl/sharedStrings.xml><?xml version="1.0" encoding="utf-8"?>
<sst xmlns="http://schemas.openxmlformats.org/spreadsheetml/2006/main" count="58" uniqueCount="54">
  <si>
    <t>Totale lordo annuo</t>
  </si>
  <si>
    <t>Oneri C.E. (IRAP)</t>
  </si>
  <si>
    <t>Totale  Oneri</t>
  </si>
  <si>
    <t>Progressione economica per classi triennali</t>
  </si>
  <si>
    <t>Stipendio tabellare              (13 mensilità)</t>
  </si>
  <si>
    <t xml:space="preserve">Indennità integrativa speciale                       </t>
  </si>
  <si>
    <t>Stipendio tabellare              (12 mensilità)</t>
  </si>
  <si>
    <r>
      <t>Stipendio tabellare              (13</t>
    </r>
    <r>
      <rPr>
        <b/>
        <vertAlign val="superscript"/>
        <sz val="9"/>
        <color indexed="8"/>
        <rFont val="Calibri"/>
        <family val="2"/>
      </rPr>
      <t>a</t>
    </r>
    <r>
      <rPr>
        <b/>
        <sz val="9"/>
        <color indexed="8"/>
        <rFont val="Calibri"/>
        <family val="2"/>
      </rPr>
      <t xml:space="preserve"> mensilità)</t>
    </r>
  </si>
  <si>
    <r>
      <t>13</t>
    </r>
    <r>
      <rPr>
        <b/>
        <vertAlign val="superscript"/>
        <sz val="9"/>
        <color indexed="8"/>
        <rFont val="Calibri"/>
        <family val="2"/>
      </rPr>
      <t>a</t>
    </r>
    <r>
      <rPr>
        <b/>
        <sz val="9"/>
        <color indexed="8"/>
        <rFont val="Calibri"/>
        <family val="2"/>
      </rPr>
      <t xml:space="preserve">    su Indennità Integrativa speciale</t>
    </r>
  </si>
  <si>
    <t>Tempo produttivo in ore</t>
  </si>
  <si>
    <t>verifica</t>
  </si>
  <si>
    <t xml:space="preserve">Indennità integrativa speciale         (13 mensilità)               </t>
  </si>
  <si>
    <t>Ritenuta Tesoro</t>
  </si>
  <si>
    <t>B1</t>
  </si>
  <si>
    <t>B2</t>
  </si>
  <si>
    <t>B3</t>
  </si>
  <si>
    <t>B4</t>
  </si>
  <si>
    <t>B5</t>
  </si>
  <si>
    <t>B6</t>
  </si>
  <si>
    <t>Ind.Vacanza Contratt.le</t>
  </si>
  <si>
    <t>Indennità di Ateneo</t>
  </si>
  <si>
    <t>C1</t>
  </si>
  <si>
    <t>C2</t>
  </si>
  <si>
    <t>C3</t>
  </si>
  <si>
    <t>C4</t>
  </si>
  <si>
    <t>C5</t>
  </si>
  <si>
    <t>C6</t>
  </si>
  <si>
    <t>C7</t>
  </si>
  <si>
    <t>D1</t>
  </si>
  <si>
    <t>D2</t>
  </si>
  <si>
    <t>D3</t>
  </si>
  <si>
    <t>D4</t>
  </si>
  <si>
    <t>D5</t>
  </si>
  <si>
    <t>D6</t>
  </si>
  <si>
    <t>D7</t>
  </si>
  <si>
    <t>EP1</t>
  </si>
  <si>
    <t>EP2</t>
  </si>
  <si>
    <t>EP3</t>
  </si>
  <si>
    <t>EP4</t>
  </si>
  <si>
    <t>EP5</t>
  </si>
  <si>
    <t>EP6</t>
  </si>
  <si>
    <t>EP7</t>
  </si>
  <si>
    <t>Indennità di posizione</t>
  </si>
  <si>
    <t xml:space="preserve">Contr. Opera  Prev.le  </t>
  </si>
  <si>
    <t>TABELLA INSERIMENTO DATI</t>
  </si>
  <si>
    <r>
      <t xml:space="preserve">Costo Totale Annuo  </t>
    </r>
    <r>
      <rPr>
        <b/>
        <sz val="10"/>
        <color indexed="10"/>
        <rFont val="Calibri"/>
        <family val="2"/>
      </rPr>
      <t>con</t>
    </r>
    <r>
      <rPr>
        <b/>
        <sz val="10"/>
        <color indexed="8"/>
        <rFont val="Calibri"/>
        <family val="2"/>
      </rPr>
      <t xml:space="preserve">  IRAP</t>
    </r>
  </si>
  <si>
    <r>
      <t xml:space="preserve">Costo Totale Annuo  </t>
    </r>
    <r>
      <rPr>
        <b/>
        <sz val="10"/>
        <color indexed="10"/>
        <rFont val="Calibri"/>
        <family val="2"/>
      </rPr>
      <t>senza</t>
    </r>
    <r>
      <rPr>
        <b/>
        <sz val="10"/>
        <color indexed="8"/>
        <rFont val="Calibri"/>
        <family val="2"/>
      </rPr>
      <t xml:space="preserve">  IRAP</t>
    </r>
  </si>
  <si>
    <r>
      <t xml:space="preserve">Costo Orario </t>
    </r>
    <r>
      <rPr>
        <b/>
        <sz val="10"/>
        <color indexed="10"/>
        <rFont val="Calibri"/>
        <family val="2"/>
      </rPr>
      <t>con</t>
    </r>
    <r>
      <rPr>
        <b/>
        <sz val="10"/>
        <color indexed="8"/>
        <rFont val="Calibri"/>
        <family val="2"/>
      </rPr>
      <t xml:space="preserve"> IRAP</t>
    </r>
  </si>
  <si>
    <r>
      <t xml:space="preserve">Costo Orario </t>
    </r>
    <r>
      <rPr>
        <b/>
        <sz val="10"/>
        <color indexed="10"/>
        <rFont val="Calibri"/>
        <family val="2"/>
      </rPr>
      <t>senza</t>
    </r>
    <r>
      <rPr>
        <b/>
        <sz val="10"/>
        <color indexed="8"/>
        <rFont val="Calibri"/>
        <family val="2"/>
      </rPr>
      <t xml:space="preserve"> IRAP</t>
    </r>
  </si>
  <si>
    <r>
      <t>Trattamento economico annuo lordo Perasonale tecnico Amministrativo -</t>
    </r>
    <r>
      <rPr>
        <b/>
        <sz val="13"/>
        <color indexed="10"/>
        <rFont val="Calibri"/>
        <family val="2"/>
      </rPr>
      <t xml:space="preserve"> Categoria B</t>
    </r>
  </si>
  <si>
    <r>
      <t xml:space="preserve">Trattamento economico annuo lordo Perasonale tecnico Amministrativo - </t>
    </r>
    <r>
      <rPr>
        <b/>
        <sz val="13"/>
        <color indexed="10"/>
        <rFont val="Calibri"/>
        <family val="2"/>
      </rPr>
      <t>Categoria C</t>
    </r>
  </si>
  <si>
    <r>
      <t xml:space="preserve">Trattamento economico annuo lordo Perasonale tecnico Amministrativo - </t>
    </r>
    <r>
      <rPr>
        <b/>
        <sz val="13"/>
        <color indexed="10"/>
        <rFont val="Calibri"/>
        <family val="2"/>
      </rPr>
      <t>Categoria D</t>
    </r>
  </si>
  <si>
    <r>
      <t xml:space="preserve">Trattamento economico annuo lordo Perasonale tecnico Amministrativo - </t>
    </r>
    <r>
      <rPr>
        <b/>
        <sz val="13"/>
        <color indexed="10"/>
        <rFont val="Calibri"/>
        <family val="2"/>
      </rPr>
      <t>Categoria EP</t>
    </r>
  </si>
  <si>
    <t>UNIVERSITA' DEGLI STUDI DELLA CAMPANIA "LUIGI VANVITELLI"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</si>
</sst>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000_-;\-* #,##0.00000_-;_-* &quot;-&quot;_-;_-@_-"/>
    <numFmt numFmtId="171" formatCode="_-* #,##0.00000_-;\-* #,##0.00000_-;_-* &quot;-&quot;?????_-;_-@_-"/>
    <numFmt numFmtId="172" formatCode="#,##0;[Red]#,##0"/>
    <numFmt numFmtId="173" formatCode="_-* #,##0.0000_-;\-* #,##0.0000_-;_-* &quot;-&quot;_-;_-@_-"/>
    <numFmt numFmtId="174" formatCode="_-* #,##0.000_-;\-* #,##0.000_-;_-* &quot;-&quot;_-;_-@_-"/>
    <numFmt numFmtId="175" formatCode="_-* #,##0.00_-;\-* #,##0.00_-;_-* &quot;-&quot;_-;_-@_-"/>
    <numFmt numFmtId="176" formatCode="_-* #,##0.0000_-;\-* #,##0.0000_-;_-* &quot;-&quot;?????_-;_-@_-"/>
    <numFmt numFmtId="177" formatCode="_-* #,##0.000_-;\-* #,##0.000_-;_-* &quot;-&quot;?????_-;_-@_-"/>
    <numFmt numFmtId="178" formatCode="_-* #,##0.00_-;\-* #,##0.00_-;_-* &quot;-&quot;?????_-;_-@_-"/>
    <numFmt numFmtId="179" formatCode="0.000%"/>
    <numFmt numFmtId="180" formatCode="0.0000%"/>
    <numFmt numFmtId="181" formatCode="0.00000%"/>
    <numFmt numFmtId="182" formatCode="0.000000%"/>
    <numFmt numFmtId="183" formatCode="0.0000000%"/>
    <numFmt numFmtId="184" formatCode="_-* #,##0.000_-;\-* #,##0.000_-;_-* &quot;-&quot;??_-;_-@_-"/>
    <numFmt numFmtId="185" formatCode="0_)"/>
    <numFmt numFmtId="186" formatCode="#,##0.0000_);\(#,##0.0000\)"/>
    <numFmt numFmtId="187" formatCode="#,##0.0000"/>
    <numFmt numFmtId="188" formatCode="0.0000"/>
    <numFmt numFmtId="189" formatCode="d\-mmm\-yy"/>
    <numFmt numFmtId="190" formatCode="dd/mm/yy"/>
    <numFmt numFmtId="191" formatCode="0.00000000%"/>
    <numFmt numFmtId="192" formatCode="_-* #,##0.0000_-;\-* #,##0.0000_-;_-* &quot;-&quot;??_-;_-@_-"/>
    <numFmt numFmtId="193" formatCode="_-* #,##0.0_-;\-* #,##0.0_-;_-* &quot;-&quot;??_-;_-@_-"/>
    <numFmt numFmtId="194" formatCode="_-* #,##0_-;\-* #,##0_-;_-* &quot;-&quot;??_-;_-@_-"/>
    <numFmt numFmtId="195" formatCode="_-* #,##0.0_-;\-* #,##0.0_-;_-* &quot;-&quot;_-;_-@_-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color indexed="10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0" borderId="2" applyNumberFormat="0" applyFill="0" applyAlignment="0" applyProtection="0"/>
    <xf numFmtId="0" fontId="40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0" fontId="43" fillId="19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4" fontId="6" fillId="0" borderId="10" xfId="45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4" fontId="7" fillId="0" borderId="10" xfId="45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53" fillId="0" borderId="10" xfId="0" applyNumberFormat="1" applyFont="1" applyFill="1" applyBorder="1" applyAlignment="1">
      <alignment horizontal="center" vertical="center"/>
    </xf>
    <xf numFmtId="4" fontId="54" fillId="0" borderId="10" xfId="0" applyNumberFormat="1" applyFont="1" applyFill="1" applyBorder="1" applyAlignment="1">
      <alignment horizontal="center" vertical="center"/>
    </xf>
    <xf numFmtId="3" fontId="55" fillId="32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4" fontId="11" fillId="34" borderId="13" xfId="0" applyNumberFormat="1" applyFont="1" applyFill="1" applyBorder="1" applyAlignment="1">
      <alignment horizontal="right" vertical="center"/>
    </xf>
    <xf numFmtId="4" fontId="11" fillId="34" borderId="14" xfId="0" applyNumberFormat="1" applyFont="1" applyFill="1" applyBorder="1" applyAlignment="1">
      <alignment horizontal="right" vertical="center"/>
    </xf>
    <xf numFmtId="4" fontId="11" fillId="34" borderId="15" xfId="0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47625</xdr:rowOff>
    </xdr:from>
    <xdr:to>
      <xdr:col>1</xdr:col>
      <xdr:colOff>381000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847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P2" sqref="P2"/>
    </sheetView>
  </sheetViews>
  <sheetFormatPr defaultColWidth="9.140625" defaultRowHeight="12.75"/>
  <cols>
    <col min="1" max="1" width="9.421875" style="13" customWidth="1"/>
    <col min="2" max="2" width="12.00390625" style="13" customWidth="1"/>
    <col min="3" max="3" width="11.421875" style="13" bestFit="1" customWidth="1"/>
    <col min="4" max="4" width="9.28125" style="13" bestFit="1" customWidth="1"/>
    <col min="5" max="5" width="9.421875" style="13" customWidth="1"/>
    <col min="6" max="7" width="10.7109375" style="13" customWidth="1"/>
    <col min="8" max="8" width="10.7109375" style="13" bestFit="1" customWidth="1"/>
    <col min="9" max="9" width="9.28125" style="13" bestFit="1" customWidth="1"/>
    <col min="10" max="10" width="10.140625" style="13" bestFit="1" customWidth="1"/>
    <col min="11" max="11" width="9.00390625" style="13" customWidth="1"/>
    <col min="12" max="12" width="10.28125" style="13" customWidth="1"/>
    <col min="13" max="13" width="11.421875" style="13" customWidth="1"/>
    <col min="14" max="15" width="11.28125" style="13" customWidth="1"/>
    <col min="16" max="16" width="11.57421875" style="13" customWidth="1"/>
    <col min="17" max="17" width="2.7109375" style="13" customWidth="1"/>
    <col min="18" max="18" width="9.140625" style="13" hidden="1" customWidth="1"/>
    <col min="19" max="20" width="10.57421875" style="13" hidden="1" customWidth="1"/>
    <col min="21" max="22" width="9.421875" style="13" hidden="1" customWidth="1"/>
    <col min="23" max="23" width="11.8515625" style="13" hidden="1" customWidth="1"/>
    <col min="24" max="24" width="9.140625" style="20" hidden="1" customWidth="1"/>
    <col min="25" max="25" width="9.140625" style="13" hidden="1" customWidth="1"/>
    <col min="26" max="16384" width="9.140625" style="13" customWidth="1"/>
  </cols>
  <sheetData>
    <row r="1" spans="1:24" s="4" customFormat="1" ht="75" customHeight="1">
      <c r="A1" s="28" t="s">
        <v>53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  <c r="X1" s="18"/>
    </row>
    <row r="2" spans="1:24" s="4" customFormat="1" ht="16.5" customHeight="1">
      <c r="A2" s="32" t="s">
        <v>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  <c r="P2" s="27">
        <v>1512</v>
      </c>
      <c r="X2" s="18"/>
    </row>
    <row r="3" spans="1:25" s="5" customFormat="1" ht="52.5" customHeight="1">
      <c r="A3" s="3" t="s">
        <v>3</v>
      </c>
      <c r="B3" s="2" t="s">
        <v>6</v>
      </c>
      <c r="C3" s="2" t="s">
        <v>7</v>
      </c>
      <c r="D3" s="2" t="s">
        <v>5</v>
      </c>
      <c r="E3" s="2" t="s">
        <v>8</v>
      </c>
      <c r="F3" s="2" t="s">
        <v>20</v>
      </c>
      <c r="G3" s="15" t="s">
        <v>42</v>
      </c>
      <c r="H3" s="1" t="s">
        <v>0</v>
      </c>
      <c r="I3" s="1" t="s">
        <v>12</v>
      </c>
      <c r="J3" s="1" t="s">
        <v>43</v>
      </c>
      <c r="K3" s="1" t="s">
        <v>1</v>
      </c>
      <c r="L3" s="1" t="s">
        <v>2</v>
      </c>
      <c r="M3" s="1" t="s">
        <v>45</v>
      </c>
      <c r="N3" s="1" t="s">
        <v>46</v>
      </c>
      <c r="O3" s="1" t="s">
        <v>47</v>
      </c>
      <c r="P3" s="1" t="s">
        <v>48</v>
      </c>
      <c r="R3" s="14" t="s">
        <v>3</v>
      </c>
      <c r="S3" s="21" t="s">
        <v>4</v>
      </c>
      <c r="T3" s="21" t="s">
        <v>11</v>
      </c>
      <c r="U3" s="15" t="s">
        <v>19</v>
      </c>
      <c r="V3" s="15" t="s">
        <v>20</v>
      </c>
      <c r="W3" s="15" t="s">
        <v>42</v>
      </c>
      <c r="X3" s="16" t="s">
        <v>0</v>
      </c>
      <c r="Y3" s="17" t="s">
        <v>10</v>
      </c>
    </row>
    <row r="4" spans="1:24" s="22" customFormat="1" ht="17.25" customHeight="1">
      <c r="A4" s="31" t="s">
        <v>49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R4" s="35" t="s">
        <v>44</v>
      </c>
      <c r="S4" s="36"/>
      <c r="T4" s="36"/>
      <c r="U4" s="36"/>
      <c r="V4" s="36"/>
      <c r="W4" s="36"/>
      <c r="X4" s="37"/>
    </row>
    <row r="5" spans="1:25" s="12" customFormat="1" ht="15">
      <c r="A5" s="6" t="str">
        <f aca="true" t="shared" si="0" ref="A5:A10">R5</f>
        <v>B1</v>
      </c>
      <c r="B5" s="7">
        <f aca="true" t="shared" si="1" ref="B5:B10">(S5+U5)/13*12</f>
        <v>10086.43</v>
      </c>
      <c r="C5" s="7">
        <f aca="true" t="shared" si="2" ref="C5:C10">(S5+U5)/13</f>
        <v>840.5358333333334</v>
      </c>
      <c r="D5" s="8">
        <f aca="true" t="shared" si="3" ref="D5:D10">T5/13*12</f>
        <v>6236.52</v>
      </c>
      <c r="E5" s="8">
        <f aca="true" t="shared" si="4" ref="E5:E10">T5/13</f>
        <v>519.71</v>
      </c>
      <c r="F5" s="7">
        <f aca="true" t="shared" si="5" ref="F5:F10">V5</f>
        <v>1209.06</v>
      </c>
      <c r="G5" s="7"/>
      <c r="H5" s="9">
        <f aca="true" t="shared" si="6" ref="H5:H10">SUM(B5:F5)</f>
        <v>18892.255833333333</v>
      </c>
      <c r="I5" s="8">
        <f aca="true" t="shared" si="7" ref="I5:I10">H5*0.242</f>
        <v>4571.925911666666</v>
      </c>
      <c r="J5" s="8">
        <f>H5*0.8*0.071</f>
        <v>1073.0801313333332</v>
      </c>
      <c r="K5" s="8">
        <f aca="true" t="shared" si="8" ref="K5:K10">(H5)*0.085</f>
        <v>1605.8417458333333</v>
      </c>
      <c r="L5" s="10">
        <f aca="true" t="shared" si="9" ref="L5:L10">SUM(I5:K5)</f>
        <v>7250.847788833333</v>
      </c>
      <c r="M5" s="10">
        <f aca="true" t="shared" si="10" ref="M5:M10">H5+L5</f>
        <v>26143.103622166665</v>
      </c>
      <c r="N5" s="11">
        <f aca="true" t="shared" si="11" ref="N5:N10">M5-K5</f>
        <v>24537.26187633333</v>
      </c>
      <c r="O5" s="25">
        <f aca="true" t="shared" si="12" ref="O5:P10">M5/$P$2</f>
        <v>17.290412448522925</v>
      </c>
      <c r="P5" s="26">
        <f t="shared" si="12"/>
        <v>16.228347801807757</v>
      </c>
      <c r="R5" s="6" t="s">
        <v>13</v>
      </c>
      <c r="S5" s="7">
        <f>9964.87/12*13</f>
        <v>10795.275833333333</v>
      </c>
      <c r="T5" s="8">
        <f>6236.52/12*13</f>
        <v>6756.2300000000005</v>
      </c>
      <c r="U5" s="7">
        <f>121.56/12*13</f>
        <v>131.69</v>
      </c>
      <c r="V5" s="7">
        <v>1209.06</v>
      </c>
      <c r="W5" s="7"/>
      <c r="X5" s="7">
        <f aca="true" t="shared" si="13" ref="X5:X10">SUM(S5:V5)</f>
        <v>18892.255833333333</v>
      </c>
      <c r="Y5" s="19">
        <f aca="true" t="shared" si="14" ref="Y5:Y10">H5-X5</f>
        <v>0</v>
      </c>
    </row>
    <row r="6" spans="1:25" s="4" customFormat="1" ht="15">
      <c r="A6" s="6" t="str">
        <f t="shared" si="0"/>
        <v>B2</v>
      </c>
      <c r="B6" s="7">
        <f t="shared" si="1"/>
        <v>11109.36</v>
      </c>
      <c r="C6" s="7">
        <f t="shared" si="2"/>
        <v>925.78</v>
      </c>
      <c r="D6" s="8">
        <f t="shared" si="3"/>
        <v>6291.139999999999</v>
      </c>
      <c r="E6" s="8">
        <f t="shared" si="4"/>
        <v>524.2616666666667</v>
      </c>
      <c r="F6" s="7">
        <f t="shared" si="5"/>
        <v>1209.06</v>
      </c>
      <c r="G6" s="7"/>
      <c r="H6" s="9">
        <f t="shared" si="6"/>
        <v>20059.601666666666</v>
      </c>
      <c r="I6" s="8">
        <f t="shared" si="7"/>
        <v>4854.423603333333</v>
      </c>
      <c r="J6" s="8">
        <f aca="true" t="shared" si="15" ref="J6:J34">H6*0.8*0.071</f>
        <v>1139.3853746666666</v>
      </c>
      <c r="K6" s="8">
        <f t="shared" si="8"/>
        <v>1705.0661416666667</v>
      </c>
      <c r="L6" s="10">
        <f t="shared" si="9"/>
        <v>7698.875119666665</v>
      </c>
      <c r="M6" s="10">
        <f t="shared" si="10"/>
        <v>27758.476786333333</v>
      </c>
      <c r="N6" s="11">
        <f t="shared" si="11"/>
        <v>26053.410644666666</v>
      </c>
      <c r="O6" s="25">
        <f t="shared" si="12"/>
        <v>18.35878094334215</v>
      </c>
      <c r="P6" s="26">
        <f t="shared" si="12"/>
        <v>17.231091696208114</v>
      </c>
      <c r="R6" s="6" t="s">
        <v>14</v>
      </c>
      <c r="S6" s="7">
        <f>10979.88/12*13</f>
        <v>11894.869999999999</v>
      </c>
      <c r="T6" s="8">
        <f>6291.14/12*13</f>
        <v>6815.401666666667</v>
      </c>
      <c r="U6" s="7">
        <f>129.48/12*13</f>
        <v>140.26999999999998</v>
      </c>
      <c r="V6" s="7">
        <v>1209.06</v>
      </c>
      <c r="W6" s="7"/>
      <c r="X6" s="7">
        <f t="shared" si="13"/>
        <v>20059.60166666667</v>
      </c>
      <c r="Y6" s="19">
        <f t="shared" si="14"/>
        <v>0</v>
      </c>
    </row>
    <row r="7" spans="1:25" s="4" customFormat="1" ht="15">
      <c r="A7" s="6" t="str">
        <f t="shared" si="0"/>
        <v>B3</v>
      </c>
      <c r="B7" s="7">
        <f t="shared" si="1"/>
        <v>11872.029999999999</v>
      </c>
      <c r="C7" s="7">
        <f t="shared" si="2"/>
        <v>989.3358333333333</v>
      </c>
      <c r="D7" s="8">
        <f t="shared" si="3"/>
        <v>6332.96</v>
      </c>
      <c r="E7" s="8">
        <f t="shared" si="4"/>
        <v>527.7466666666667</v>
      </c>
      <c r="F7" s="7">
        <f t="shared" si="5"/>
        <v>1209.06</v>
      </c>
      <c r="G7" s="7"/>
      <c r="H7" s="9">
        <f t="shared" si="6"/>
        <v>20931.1325</v>
      </c>
      <c r="I7" s="8">
        <f t="shared" si="7"/>
        <v>5065.334065</v>
      </c>
      <c r="J7" s="8">
        <f t="shared" si="15"/>
        <v>1188.8883259999998</v>
      </c>
      <c r="K7" s="8">
        <f t="shared" si="8"/>
        <v>1779.1462625000001</v>
      </c>
      <c r="L7" s="10">
        <f t="shared" si="9"/>
        <v>8033.3686535</v>
      </c>
      <c r="M7" s="10">
        <f t="shared" si="10"/>
        <v>28964.5011535</v>
      </c>
      <c r="N7" s="11">
        <f t="shared" si="11"/>
        <v>27185.354891000003</v>
      </c>
      <c r="O7" s="25">
        <f t="shared" si="12"/>
        <v>19.15641610681217</v>
      </c>
      <c r="P7" s="26">
        <f t="shared" si="12"/>
        <v>17.9797320707672</v>
      </c>
      <c r="R7" s="6" t="s">
        <v>15</v>
      </c>
      <c r="S7" s="7">
        <f>11736.55/12*13</f>
        <v>12714.595833333333</v>
      </c>
      <c r="T7" s="8">
        <f>6332.96/12*13</f>
        <v>6860.706666666667</v>
      </c>
      <c r="U7" s="7">
        <f>135.48/12*13</f>
        <v>146.76999999999998</v>
      </c>
      <c r="V7" s="7">
        <v>1209.06</v>
      </c>
      <c r="W7" s="7"/>
      <c r="X7" s="7">
        <f t="shared" si="13"/>
        <v>20931.1325</v>
      </c>
      <c r="Y7" s="19">
        <f t="shared" si="14"/>
        <v>0</v>
      </c>
    </row>
    <row r="8" spans="1:25" s="4" customFormat="1" ht="15">
      <c r="A8" s="6" t="str">
        <f t="shared" si="0"/>
        <v>B4</v>
      </c>
      <c r="B8" s="7">
        <f t="shared" si="1"/>
        <v>12715.919999999998</v>
      </c>
      <c r="C8" s="7">
        <f t="shared" si="2"/>
        <v>1059.6599999999999</v>
      </c>
      <c r="D8" s="8">
        <f t="shared" si="3"/>
        <v>6332.96</v>
      </c>
      <c r="E8" s="8">
        <f t="shared" si="4"/>
        <v>527.7466666666667</v>
      </c>
      <c r="F8" s="7">
        <f t="shared" si="5"/>
        <v>1209.06</v>
      </c>
      <c r="G8" s="7"/>
      <c r="H8" s="9">
        <f t="shared" si="6"/>
        <v>21845.346666666665</v>
      </c>
      <c r="I8" s="8">
        <f t="shared" si="7"/>
        <v>5286.573893333332</v>
      </c>
      <c r="J8" s="8">
        <f t="shared" si="15"/>
        <v>1240.8156906666663</v>
      </c>
      <c r="K8" s="8">
        <f t="shared" si="8"/>
        <v>1856.8544666666667</v>
      </c>
      <c r="L8" s="10">
        <f t="shared" si="9"/>
        <v>8384.244050666664</v>
      </c>
      <c r="M8" s="10">
        <f t="shared" si="10"/>
        <v>30229.59071733333</v>
      </c>
      <c r="N8" s="11">
        <f t="shared" si="11"/>
        <v>28372.73625066666</v>
      </c>
      <c r="O8" s="25">
        <f t="shared" si="12"/>
        <v>19.993115553791885</v>
      </c>
      <c r="P8" s="26">
        <f t="shared" si="12"/>
        <v>18.765037202821865</v>
      </c>
      <c r="R8" s="6" t="s">
        <v>16</v>
      </c>
      <c r="S8" s="7">
        <f>12574.08/12*13</f>
        <v>13621.919999999998</v>
      </c>
      <c r="T8" s="8">
        <f>6332.96/12*13</f>
        <v>6860.706666666667</v>
      </c>
      <c r="U8" s="7">
        <f>141.84/12*13</f>
        <v>153.66</v>
      </c>
      <c r="V8" s="7">
        <v>1209.06</v>
      </c>
      <c r="W8" s="7"/>
      <c r="X8" s="7">
        <f t="shared" si="13"/>
        <v>21845.346666666665</v>
      </c>
      <c r="Y8" s="19">
        <f t="shared" si="14"/>
        <v>0</v>
      </c>
    </row>
    <row r="9" spans="1:25" s="4" customFormat="1" ht="15">
      <c r="A9" s="6" t="str">
        <f t="shared" si="0"/>
        <v>B5</v>
      </c>
      <c r="B9" s="7">
        <f t="shared" si="1"/>
        <v>13478.259999999998</v>
      </c>
      <c r="C9" s="7">
        <f t="shared" si="2"/>
        <v>1123.1883333333333</v>
      </c>
      <c r="D9" s="8">
        <f t="shared" si="3"/>
        <v>6332.96</v>
      </c>
      <c r="E9" s="8">
        <f t="shared" si="4"/>
        <v>527.7466666666667</v>
      </c>
      <c r="F9" s="7">
        <f t="shared" si="5"/>
        <v>1209.06</v>
      </c>
      <c r="G9" s="7"/>
      <c r="H9" s="9">
        <f t="shared" si="6"/>
        <v>22671.215</v>
      </c>
      <c r="I9" s="8">
        <f t="shared" si="7"/>
        <v>5486.434029999999</v>
      </c>
      <c r="J9" s="8">
        <f t="shared" si="15"/>
        <v>1287.725012</v>
      </c>
      <c r="K9" s="8">
        <f t="shared" si="8"/>
        <v>1927.0532750000002</v>
      </c>
      <c r="L9" s="10">
        <f t="shared" si="9"/>
        <v>8701.212317</v>
      </c>
      <c r="M9" s="10">
        <f t="shared" si="10"/>
        <v>31372.427317</v>
      </c>
      <c r="N9" s="11">
        <f t="shared" si="11"/>
        <v>29445.374042000003</v>
      </c>
      <c r="O9" s="25">
        <f t="shared" si="12"/>
        <v>20.74895986574074</v>
      </c>
      <c r="P9" s="26">
        <f t="shared" si="12"/>
        <v>19.474453731481482</v>
      </c>
      <c r="R9" s="6" t="s">
        <v>17</v>
      </c>
      <c r="S9" s="7">
        <f>13330.78/12*13</f>
        <v>14441.678333333333</v>
      </c>
      <c r="T9" s="8">
        <f>6332.96/12*13</f>
        <v>6860.706666666667</v>
      </c>
      <c r="U9" s="7">
        <f>147.48/12*13</f>
        <v>159.76999999999998</v>
      </c>
      <c r="V9" s="7">
        <v>1209.06</v>
      </c>
      <c r="W9" s="7"/>
      <c r="X9" s="7">
        <f t="shared" si="13"/>
        <v>22671.215000000004</v>
      </c>
      <c r="Y9" s="19">
        <f t="shared" si="14"/>
        <v>0</v>
      </c>
    </row>
    <row r="10" spans="1:25" s="4" customFormat="1" ht="15">
      <c r="A10" s="6" t="str">
        <f t="shared" si="0"/>
        <v>B6</v>
      </c>
      <c r="B10" s="7">
        <f t="shared" si="1"/>
        <v>14274.119999999999</v>
      </c>
      <c r="C10" s="7">
        <f t="shared" si="2"/>
        <v>1189.51</v>
      </c>
      <c r="D10" s="8">
        <f t="shared" si="3"/>
        <v>6332.96</v>
      </c>
      <c r="E10" s="8">
        <f t="shared" si="4"/>
        <v>527.7466666666667</v>
      </c>
      <c r="F10" s="7">
        <f t="shared" si="5"/>
        <v>1209.06</v>
      </c>
      <c r="G10" s="7"/>
      <c r="H10" s="9">
        <f t="shared" si="6"/>
        <v>23533.396666666667</v>
      </c>
      <c r="I10" s="8">
        <f t="shared" si="7"/>
        <v>5695.081993333333</v>
      </c>
      <c r="J10" s="8">
        <f t="shared" si="15"/>
        <v>1336.6969306666665</v>
      </c>
      <c r="K10" s="8">
        <f t="shared" si="8"/>
        <v>2000.3387166666669</v>
      </c>
      <c r="L10" s="10">
        <f t="shared" si="9"/>
        <v>9032.117640666667</v>
      </c>
      <c r="M10" s="10">
        <f t="shared" si="10"/>
        <v>32565.514307333335</v>
      </c>
      <c r="N10" s="11">
        <f t="shared" si="11"/>
        <v>30565.17559066667</v>
      </c>
      <c r="O10" s="25">
        <f t="shared" si="12"/>
        <v>21.53803856305115</v>
      </c>
      <c r="P10" s="26">
        <f t="shared" si="12"/>
        <v>20.21506322134039</v>
      </c>
      <c r="R10" s="6" t="s">
        <v>18</v>
      </c>
      <c r="S10" s="7">
        <f>14120.76/12*13</f>
        <v>15297.49</v>
      </c>
      <c r="T10" s="8">
        <f>6332.96/12*13</f>
        <v>6860.706666666667</v>
      </c>
      <c r="U10" s="7">
        <f>153.36/12*13</f>
        <v>166.14000000000001</v>
      </c>
      <c r="V10" s="7">
        <v>1209.06</v>
      </c>
      <c r="W10" s="7"/>
      <c r="X10" s="7">
        <f t="shared" si="13"/>
        <v>23533.396666666667</v>
      </c>
      <c r="Y10" s="19">
        <f t="shared" si="14"/>
        <v>0</v>
      </c>
    </row>
    <row r="11" spans="1:25" s="23" customFormat="1" ht="17.25" customHeight="1">
      <c r="A11" s="31" t="s">
        <v>50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Y11" s="24"/>
    </row>
    <row r="12" spans="1:25" s="12" customFormat="1" ht="15">
      <c r="A12" s="6" t="str">
        <f aca="true" t="shared" si="16" ref="A12:A17">R12</f>
        <v>C1</v>
      </c>
      <c r="B12" s="7">
        <f aca="true" t="shared" si="17" ref="B12:B17">(S12+U12)/13*12</f>
        <v>12381.91</v>
      </c>
      <c r="C12" s="7">
        <f aca="true" t="shared" si="18" ref="C12:C17">(S12+U12)/13</f>
        <v>1031.8258333333333</v>
      </c>
      <c r="D12" s="8">
        <f aca="true" t="shared" si="19" ref="D12:D17">T12/13*12</f>
        <v>6372.640000000001</v>
      </c>
      <c r="E12" s="8">
        <f aca="true" t="shared" si="20" ref="E12:E17">T12/13</f>
        <v>531.0533333333334</v>
      </c>
      <c r="F12" s="7">
        <f aca="true" t="shared" si="21" ref="F12:F17">V12</f>
        <v>1643.57</v>
      </c>
      <c r="G12" s="7"/>
      <c r="H12" s="9">
        <f aca="true" t="shared" si="22" ref="H12:H17">SUM(B12:F12)</f>
        <v>21960.999166666665</v>
      </c>
      <c r="I12" s="8">
        <f aca="true" t="shared" si="23" ref="I12:I17">H12*0.242</f>
        <v>5314.561798333332</v>
      </c>
      <c r="J12" s="8">
        <f t="shared" si="15"/>
        <v>1247.3847526666666</v>
      </c>
      <c r="K12" s="8">
        <f aca="true" t="shared" si="24" ref="K12:K17">(H12)*0.085</f>
        <v>1866.6849291666667</v>
      </c>
      <c r="L12" s="10">
        <f aca="true" t="shared" si="25" ref="L12:L17">SUM(I12:K12)</f>
        <v>8428.631480166667</v>
      </c>
      <c r="M12" s="10">
        <f aca="true" t="shared" si="26" ref="M12:M17">H12+L12</f>
        <v>30389.63064683333</v>
      </c>
      <c r="N12" s="11">
        <f aca="true" t="shared" si="27" ref="N12:N17">M12-K12</f>
        <v>28522.945717666666</v>
      </c>
      <c r="O12" s="25">
        <f aca="true" t="shared" si="28" ref="O12:P18">M12/$P$2</f>
        <v>20.098962068011463</v>
      </c>
      <c r="P12" s="26">
        <f t="shared" si="28"/>
        <v>18.86438208840388</v>
      </c>
      <c r="R12" s="6" t="s">
        <v>21</v>
      </c>
      <c r="S12" s="7">
        <f>12242.35/12*13</f>
        <v>13262.545833333334</v>
      </c>
      <c r="T12" s="8">
        <f>6372.64/12*13</f>
        <v>6903.6933333333345</v>
      </c>
      <c r="U12" s="7">
        <f>139.56/12*13</f>
        <v>151.19</v>
      </c>
      <c r="V12" s="7">
        <v>1643.57</v>
      </c>
      <c r="W12" s="7"/>
      <c r="X12" s="7">
        <f aca="true" t="shared" si="29" ref="X12:X17">SUM(S12:V12)</f>
        <v>21960.999166666665</v>
      </c>
      <c r="Y12" s="19">
        <f aca="true" t="shared" si="30" ref="Y12:Y18">H12-X12</f>
        <v>0</v>
      </c>
    </row>
    <row r="13" spans="1:25" s="4" customFormat="1" ht="15">
      <c r="A13" s="6" t="str">
        <f t="shared" si="16"/>
        <v>C2</v>
      </c>
      <c r="B13" s="7">
        <f t="shared" si="17"/>
        <v>12762.909999999996</v>
      </c>
      <c r="C13" s="7">
        <f t="shared" si="18"/>
        <v>1063.575833333333</v>
      </c>
      <c r="D13" s="8">
        <f t="shared" si="19"/>
        <v>6372.640000000001</v>
      </c>
      <c r="E13" s="8">
        <f t="shared" si="20"/>
        <v>531.0533333333334</v>
      </c>
      <c r="F13" s="7">
        <f t="shared" si="21"/>
        <v>1643.57</v>
      </c>
      <c r="G13" s="7"/>
      <c r="H13" s="9">
        <f t="shared" si="22"/>
        <v>22373.749166666665</v>
      </c>
      <c r="I13" s="8">
        <f t="shared" si="23"/>
        <v>5414.447298333333</v>
      </c>
      <c r="J13" s="8">
        <f t="shared" si="15"/>
        <v>1270.8289526666665</v>
      </c>
      <c r="K13" s="8">
        <f t="shared" si="24"/>
        <v>1901.7686791666667</v>
      </c>
      <c r="L13" s="10">
        <f t="shared" si="25"/>
        <v>8587.044930166667</v>
      </c>
      <c r="M13" s="10">
        <f t="shared" si="26"/>
        <v>30960.79409683333</v>
      </c>
      <c r="N13" s="11">
        <f t="shared" si="27"/>
        <v>29059.025417666664</v>
      </c>
      <c r="O13" s="25">
        <f t="shared" si="28"/>
        <v>20.476715672508817</v>
      </c>
      <c r="P13" s="26">
        <f t="shared" si="28"/>
        <v>19.218932154541445</v>
      </c>
      <c r="R13" s="6" t="s">
        <v>22</v>
      </c>
      <c r="S13" s="7">
        <f>12620.47/12*13</f>
        <v>13672.175833333331</v>
      </c>
      <c r="T13" s="8">
        <f>6372.64/12*13</f>
        <v>6903.6933333333345</v>
      </c>
      <c r="U13" s="7">
        <f>142.44/12*13</f>
        <v>154.31</v>
      </c>
      <c r="V13" s="7">
        <v>1643.57</v>
      </c>
      <c r="W13" s="7"/>
      <c r="X13" s="7">
        <f t="shared" si="29"/>
        <v>22373.749166666665</v>
      </c>
      <c r="Y13" s="19">
        <f t="shared" si="30"/>
        <v>0</v>
      </c>
    </row>
    <row r="14" spans="1:25" s="4" customFormat="1" ht="15">
      <c r="A14" s="6" t="str">
        <f t="shared" si="16"/>
        <v>C3</v>
      </c>
      <c r="B14" s="7">
        <f t="shared" si="17"/>
        <v>13564.069999999996</v>
      </c>
      <c r="C14" s="7">
        <f t="shared" si="18"/>
        <v>1130.3391666666664</v>
      </c>
      <c r="D14" s="8">
        <f t="shared" si="19"/>
        <v>6372.640000000001</v>
      </c>
      <c r="E14" s="8">
        <f t="shared" si="20"/>
        <v>531.0533333333334</v>
      </c>
      <c r="F14" s="7">
        <f t="shared" si="21"/>
        <v>1643.57</v>
      </c>
      <c r="G14" s="7"/>
      <c r="H14" s="9">
        <f t="shared" si="22"/>
        <v>23241.672499999997</v>
      </c>
      <c r="I14" s="8">
        <f t="shared" si="23"/>
        <v>5624.484744999999</v>
      </c>
      <c r="J14" s="8">
        <f t="shared" si="15"/>
        <v>1320.126998</v>
      </c>
      <c r="K14" s="8">
        <f t="shared" si="24"/>
        <v>1975.5421625</v>
      </c>
      <c r="L14" s="10">
        <f t="shared" si="25"/>
        <v>8920.1539055</v>
      </c>
      <c r="M14" s="10">
        <f t="shared" si="26"/>
        <v>32161.826405499996</v>
      </c>
      <c r="N14" s="11">
        <f t="shared" si="27"/>
        <v>30186.284242999995</v>
      </c>
      <c r="O14" s="25">
        <f t="shared" si="28"/>
        <v>21.27104920998677</v>
      </c>
      <c r="P14" s="26">
        <f t="shared" si="28"/>
        <v>19.964473705687826</v>
      </c>
      <c r="R14" s="6" t="s">
        <v>23</v>
      </c>
      <c r="S14" s="7">
        <f>13415.63/12*13</f>
        <v>14533.599166666665</v>
      </c>
      <c r="T14" s="8">
        <f>6372.64/12*13</f>
        <v>6903.6933333333345</v>
      </c>
      <c r="U14" s="7">
        <f>148.44/12*13</f>
        <v>160.81</v>
      </c>
      <c r="V14" s="7">
        <v>1643.57</v>
      </c>
      <c r="W14" s="7"/>
      <c r="X14" s="7">
        <f t="shared" si="29"/>
        <v>23241.6725</v>
      </c>
      <c r="Y14" s="19">
        <f t="shared" si="30"/>
        <v>0</v>
      </c>
    </row>
    <row r="15" spans="1:25" s="4" customFormat="1" ht="15">
      <c r="A15" s="6" t="str">
        <f t="shared" si="16"/>
        <v>C4</v>
      </c>
      <c r="B15" s="7">
        <f t="shared" si="17"/>
        <v>14553.289999999999</v>
      </c>
      <c r="C15" s="7">
        <f t="shared" si="18"/>
        <v>1212.7741666666666</v>
      </c>
      <c r="D15" s="8">
        <f t="shared" si="19"/>
        <v>6450.08</v>
      </c>
      <c r="E15" s="8">
        <f t="shared" si="20"/>
        <v>537.5066666666667</v>
      </c>
      <c r="F15" s="7">
        <f t="shared" si="21"/>
        <v>1643.57</v>
      </c>
      <c r="G15" s="7"/>
      <c r="H15" s="9">
        <f t="shared" si="22"/>
        <v>24397.220833333333</v>
      </c>
      <c r="I15" s="8">
        <f t="shared" si="23"/>
        <v>5904.1274416666665</v>
      </c>
      <c r="J15" s="8">
        <f t="shared" si="15"/>
        <v>1385.7621433333334</v>
      </c>
      <c r="K15" s="8">
        <f t="shared" si="24"/>
        <v>2073.7637708333336</v>
      </c>
      <c r="L15" s="10">
        <f t="shared" si="25"/>
        <v>9363.653355833334</v>
      </c>
      <c r="M15" s="10">
        <f t="shared" si="26"/>
        <v>33760.874189166665</v>
      </c>
      <c r="N15" s="11">
        <f t="shared" si="27"/>
        <v>31687.11041833333</v>
      </c>
      <c r="O15" s="25">
        <f t="shared" si="28"/>
        <v>22.3286204954806</v>
      </c>
      <c r="P15" s="26">
        <f t="shared" si="28"/>
        <v>20.957083610008816</v>
      </c>
      <c r="R15" s="6" t="s">
        <v>24</v>
      </c>
      <c r="S15" s="7">
        <f>14396.93/12*13</f>
        <v>15596.674166666666</v>
      </c>
      <c r="T15" s="8">
        <f>6450.08/12*13</f>
        <v>6987.586666666666</v>
      </c>
      <c r="U15" s="7">
        <f>156.36/12*13</f>
        <v>169.39000000000001</v>
      </c>
      <c r="V15" s="7">
        <v>1643.57</v>
      </c>
      <c r="W15" s="7"/>
      <c r="X15" s="7">
        <f t="shared" si="29"/>
        <v>24397.220833333333</v>
      </c>
      <c r="Y15" s="19">
        <f t="shared" si="30"/>
        <v>0</v>
      </c>
    </row>
    <row r="16" spans="1:25" s="4" customFormat="1" ht="15">
      <c r="A16" s="6" t="str">
        <f t="shared" si="16"/>
        <v>C5</v>
      </c>
      <c r="B16" s="7">
        <f t="shared" si="17"/>
        <v>15256.89</v>
      </c>
      <c r="C16" s="7">
        <f t="shared" si="18"/>
        <v>1271.4075</v>
      </c>
      <c r="D16" s="8">
        <f t="shared" si="19"/>
        <v>6450.08</v>
      </c>
      <c r="E16" s="8">
        <f t="shared" si="20"/>
        <v>537.5066666666667</v>
      </c>
      <c r="F16" s="7">
        <f t="shared" si="21"/>
        <v>1643.57</v>
      </c>
      <c r="G16" s="7"/>
      <c r="H16" s="9">
        <f t="shared" si="22"/>
        <v>25159.45416666667</v>
      </c>
      <c r="I16" s="8">
        <f t="shared" si="23"/>
        <v>6088.587908333334</v>
      </c>
      <c r="J16" s="8">
        <f t="shared" si="15"/>
        <v>1429.056996666667</v>
      </c>
      <c r="K16" s="8">
        <f t="shared" si="24"/>
        <v>2138.553604166667</v>
      </c>
      <c r="L16" s="10">
        <f t="shared" si="25"/>
        <v>9656.198509166668</v>
      </c>
      <c r="M16" s="10">
        <f t="shared" si="26"/>
        <v>34815.652675833335</v>
      </c>
      <c r="N16" s="11">
        <f t="shared" si="27"/>
        <v>32677.099071666667</v>
      </c>
      <c r="O16" s="25">
        <f t="shared" si="28"/>
        <v>23.026225314704586</v>
      </c>
      <c r="P16" s="26">
        <f t="shared" si="28"/>
        <v>21.611838010361552</v>
      </c>
      <c r="R16" s="6" t="s">
        <v>25</v>
      </c>
      <c r="S16" s="7">
        <f>15095.25/12*13</f>
        <v>16353.1875</v>
      </c>
      <c r="T16" s="8">
        <f>6450.08/12*13</f>
        <v>6987.586666666666</v>
      </c>
      <c r="U16" s="7">
        <f>161.64/12*13</f>
        <v>175.10999999999999</v>
      </c>
      <c r="V16" s="7">
        <v>1643.57</v>
      </c>
      <c r="W16" s="7"/>
      <c r="X16" s="7">
        <f t="shared" si="29"/>
        <v>25159.454166666666</v>
      </c>
      <c r="Y16" s="19">
        <f t="shared" si="30"/>
        <v>0</v>
      </c>
    </row>
    <row r="17" spans="1:25" s="4" customFormat="1" ht="15">
      <c r="A17" s="6" t="str">
        <f t="shared" si="16"/>
        <v>C6</v>
      </c>
      <c r="B17" s="7">
        <f t="shared" si="17"/>
        <v>15989.080000000002</v>
      </c>
      <c r="C17" s="7">
        <f t="shared" si="18"/>
        <v>1332.4233333333334</v>
      </c>
      <c r="D17" s="8">
        <f t="shared" si="19"/>
        <v>6450.08</v>
      </c>
      <c r="E17" s="8">
        <f t="shared" si="20"/>
        <v>537.5066666666667</v>
      </c>
      <c r="F17" s="7">
        <f t="shared" si="21"/>
        <v>1643.57</v>
      </c>
      <c r="G17" s="7"/>
      <c r="H17" s="9">
        <f t="shared" si="22"/>
        <v>25952.660000000003</v>
      </c>
      <c r="I17" s="8">
        <f t="shared" si="23"/>
        <v>6280.543720000001</v>
      </c>
      <c r="J17" s="8">
        <f t="shared" si="15"/>
        <v>1474.111088</v>
      </c>
      <c r="K17" s="8">
        <f t="shared" si="24"/>
        <v>2205.9761000000003</v>
      </c>
      <c r="L17" s="10">
        <f t="shared" si="25"/>
        <v>9960.630908000001</v>
      </c>
      <c r="M17" s="10">
        <f t="shared" si="26"/>
        <v>35913.290908</v>
      </c>
      <c r="N17" s="11">
        <f t="shared" si="27"/>
        <v>33707.314808</v>
      </c>
      <c r="O17" s="25">
        <f t="shared" si="28"/>
        <v>23.752176526455028</v>
      </c>
      <c r="P17" s="26">
        <f t="shared" si="28"/>
        <v>22.293197624338625</v>
      </c>
      <c r="R17" s="6" t="s">
        <v>26</v>
      </c>
      <c r="S17" s="7">
        <f>15822.04/12*13</f>
        <v>17140.543333333335</v>
      </c>
      <c r="T17" s="8">
        <f>6450.08/12*13</f>
        <v>6987.586666666666</v>
      </c>
      <c r="U17" s="7">
        <f>167.04/12*13</f>
        <v>180.96</v>
      </c>
      <c r="V17" s="7">
        <v>1643.57</v>
      </c>
      <c r="W17" s="7"/>
      <c r="X17" s="7">
        <f t="shared" si="29"/>
        <v>25952.66</v>
      </c>
      <c r="Y17" s="19">
        <f t="shared" si="30"/>
        <v>0</v>
      </c>
    </row>
    <row r="18" spans="1:25" s="4" customFormat="1" ht="15">
      <c r="A18" s="6" t="str">
        <f>R18</f>
        <v>C7</v>
      </c>
      <c r="B18" s="7">
        <f>(S18+U18)/13*12</f>
        <v>16748.369999999995</v>
      </c>
      <c r="C18" s="7">
        <f>(S18+U18)/13</f>
        <v>1395.6974999999998</v>
      </c>
      <c r="D18" s="8">
        <f>T18/13*12</f>
        <v>6450.08</v>
      </c>
      <c r="E18" s="8">
        <f>T18/13</f>
        <v>537.5066666666667</v>
      </c>
      <c r="F18" s="7">
        <f>V18</f>
        <v>1643.57</v>
      </c>
      <c r="G18" s="7"/>
      <c r="H18" s="9">
        <f>SUM(B18:F18)</f>
        <v>26775.22416666666</v>
      </c>
      <c r="I18" s="8">
        <f>H18*0.242</f>
        <v>6479.604248333331</v>
      </c>
      <c r="J18" s="8">
        <f t="shared" si="15"/>
        <v>1520.8327326666663</v>
      </c>
      <c r="K18" s="8">
        <f>(H18)*0.085</f>
        <v>2275.894054166666</v>
      </c>
      <c r="L18" s="10">
        <f>SUM(I18:K18)</f>
        <v>10276.331035166662</v>
      </c>
      <c r="M18" s="10">
        <f>H18+L18</f>
        <v>37051.555201833326</v>
      </c>
      <c r="N18" s="11">
        <f>M18-K18</f>
        <v>34775.66114766666</v>
      </c>
      <c r="O18" s="25">
        <f t="shared" si="28"/>
        <v>24.504996826609343</v>
      </c>
      <c r="P18" s="26">
        <f t="shared" si="28"/>
        <v>22.999775891313927</v>
      </c>
      <c r="R18" s="6" t="s">
        <v>27</v>
      </c>
      <c r="S18" s="7">
        <f>16575.69/12*13</f>
        <v>17956.997499999998</v>
      </c>
      <c r="T18" s="8">
        <f>6450.08/12*13</f>
        <v>6987.586666666666</v>
      </c>
      <c r="U18" s="7">
        <f>172.68/12*13</f>
        <v>187.07</v>
      </c>
      <c r="V18" s="7">
        <v>1643.57</v>
      </c>
      <c r="W18" s="7"/>
      <c r="X18" s="7">
        <f>SUM(S18:V18)</f>
        <v>26775.224166666663</v>
      </c>
      <c r="Y18" s="19">
        <f t="shared" si="30"/>
        <v>0</v>
      </c>
    </row>
    <row r="19" spans="1:25" s="23" customFormat="1" ht="17.25" customHeight="1">
      <c r="A19" s="31" t="s">
        <v>51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Y19" s="24"/>
    </row>
    <row r="20" spans="1:25" s="12" customFormat="1" ht="15">
      <c r="A20" s="6" t="str">
        <f aca="true" t="shared" si="31" ref="A20:A26">R20</f>
        <v>D1</v>
      </c>
      <c r="B20" s="7">
        <f aca="true" t="shared" si="32" ref="B20:B26">(S20+U20)/13*12</f>
        <v>15397.960000000001</v>
      </c>
      <c r="C20" s="7">
        <f aca="true" t="shared" si="33" ref="C20:C26">(S20+U20)/13</f>
        <v>1283.1633333333334</v>
      </c>
      <c r="D20" s="8">
        <f aca="true" t="shared" si="34" ref="D20:D26">T20/13*12</f>
        <v>6545.24</v>
      </c>
      <c r="E20" s="8">
        <f aca="true" t="shared" si="35" ref="E20:E26">T20/13</f>
        <v>545.4366666666666</v>
      </c>
      <c r="F20" s="7">
        <f aca="true" t="shared" si="36" ref="F20:F26">V20</f>
        <v>2350.06</v>
      </c>
      <c r="G20" s="7"/>
      <c r="H20" s="9">
        <f aca="true" t="shared" si="37" ref="H20:H26">SUM(B20:F20)</f>
        <v>26121.860000000004</v>
      </c>
      <c r="I20" s="8">
        <f aca="true" t="shared" si="38" ref="I20:I26">H20*0.242</f>
        <v>6321.49012</v>
      </c>
      <c r="J20" s="8">
        <f t="shared" si="15"/>
        <v>1483.7216480000002</v>
      </c>
      <c r="K20" s="8">
        <f aca="true" t="shared" si="39" ref="K20:K34">(H20)*0.085</f>
        <v>2220.3581000000004</v>
      </c>
      <c r="L20" s="10">
        <f aca="true" t="shared" si="40" ref="L20:L26">SUM(I20:K20)</f>
        <v>10025.569868000002</v>
      </c>
      <c r="M20" s="10">
        <f aca="true" t="shared" si="41" ref="M20:M26">H20+L20</f>
        <v>36147.42986800001</v>
      </c>
      <c r="N20" s="11">
        <f aca="true" t="shared" si="42" ref="N20:N26">M20-K20</f>
        <v>33927.07176800001</v>
      </c>
      <c r="O20" s="25">
        <f aca="true" t="shared" si="43" ref="O20:P26">M20/$P$2</f>
        <v>23.907030335978842</v>
      </c>
      <c r="P20" s="26">
        <f t="shared" si="43"/>
        <v>22.438539529100535</v>
      </c>
      <c r="R20" s="6" t="s">
        <v>28</v>
      </c>
      <c r="S20" s="7">
        <f>15234.64/12*13</f>
        <v>16504.193333333333</v>
      </c>
      <c r="T20" s="8">
        <f aca="true" t="shared" si="44" ref="T20:T26">6545.24/12*13</f>
        <v>7090.676666666666</v>
      </c>
      <c r="U20" s="7">
        <f>163.32/12*13</f>
        <v>176.93</v>
      </c>
      <c r="V20" s="7">
        <v>2350.06</v>
      </c>
      <c r="W20" s="7"/>
      <c r="X20" s="7">
        <f aca="true" t="shared" si="45" ref="X20:X26">SUM(S20:V20)</f>
        <v>26121.86</v>
      </c>
      <c r="Y20" s="19">
        <f aca="true" t="shared" si="46" ref="Y20:Y26">H20-X20</f>
        <v>0</v>
      </c>
    </row>
    <row r="21" spans="1:25" s="4" customFormat="1" ht="15">
      <c r="A21" s="6" t="str">
        <f t="shared" si="31"/>
        <v>D2</v>
      </c>
      <c r="B21" s="7">
        <f t="shared" si="32"/>
        <v>16293.35</v>
      </c>
      <c r="C21" s="7">
        <f t="shared" si="33"/>
        <v>1357.7791666666667</v>
      </c>
      <c r="D21" s="8">
        <f t="shared" si="34"/>
        <v>6545.24</v>
      </c>
      <c r="E21" s="8">
        <f t="shared" si="35"/>
        <v>545.4366666666666</v>
      </c>
      <c r="F21" s="7">
        <f t="shared" si="36"/>
        <v>2350.06</v>
      </c>
      <c r="G21" s="7"/>
      <c r="H21" s="9">
        <f t="shared" si="37"/>
        <v>27091.865833333333</v>
      </c>
      <c r="I21" s="8">
        <f t="shared" si="38"/>
        <v>6556.231531666666</v>
      </c>
      <c r="J21" s="8">
        <f t="shared" si="15"/>
        <v>1538.8179793333334</v>
      </c>
      <c r="K21" s="8">
        <f t="shared" si="39"/>
        <v>2302.8085958333336</v>
      </c>
      <c r="L21" s="10">
        <f t="shared" si="40"/>
        <v>10397.858106833333</v>
      </c>
      <c r="M21" s="10">
        <f t="shared" si="41"/>
        <v>37489.72394016667</v>
      </c>
      <c r="N21" s="11">
        <f t="shared" si="42"/>
        <v>35186.915344333334</v>
      </c>
      <c r="O21" s="25">
        <f t="shared" si="43"/>
        <v>24.794790965718693</v>
      </c>
      <c r="P21" s="26">
        <f t="shared" si="43"/>
        <v>23.27176940762787</v>
      </c>
      <c r="R21" s="6" t="s">
        <v>29</v>
      </c>
      <c r="S21" s="7">
        <f>16123.31/12*13</f>
        <v>17466.919166666667</v>
      </c>
      <c r="T21" s="8">
        <f t="shared" si="44"/>
        <v>7090.676666666666</v>
      </c>
      <c r="U21" s="7">
        <f>170.04/12*13</f>
        <v>184.21</v>
      </c>
      <c r="V21" s="7">
        <v>2350.06</v>
      </c>
      <c r="W21" s="7"/>
      <c r="X21" s="7">
        <f t="shared" si="45"/>
        <v>27091.865833333333</v>
      </c>
      <c r="Y21" s="19">
        <f t="shared" si="46"/>
        <v>0</v>
      </c>
    </row>
    <row r="22" spans="1:25" s="4" customFormat="1" ht="15">
      <c r="A22" s="6" t="str">
        <f t="shared" si="31"/>
        <v>D3</v>
      </c>
      <c r="B22" s="7">
        <f t="shared" si="32"/>
        <v>17327.5</v>
      </c>
      <c r="C22" s="7">
        <f t="shared" si="33"/>
        <v>1443.9583333333333</v>
      </c>
      <c r="D22" s="8">
        <f t="shared" si="34"/>
        <v>6545.24</v>
      </c>
      <c r="E22" s="8">
        <f t="shared" si="35"/>
        <v>545.4366666666666</v>
      </c>
      <c r="F22" s="7">
        <f t="shared" si="36"/>
        <v>2350.06</v>
      </c>
      <c r="G22" s="7"/>
      <c r="H22" s="9">
        <f t="shared" si="37"/>
        <v>28212.195000000003</v>
      </c>
      <c r="I22" s="8">
        <f t="shared" si="38"/>
        <v>6827.35119</v>
      </c>
      <c r="J22" s="8">
        <f t="shared" si="15"/>
        <v>1602.452676</v>
      </c>
      <c r="K22" s="8">
        <f t="shared" si="39"/>
        <v>2398.0365750000005</v>
      </c>
      <c r="L22" s="10">
        <f t="shared" si="40"/>
        <v>10827.840441</v>
      </c>
      <c r="M22" s="10">
        <f t="shared" si="41"/>
        <v>39040.035441</v>
      </c>
      <c r="N22" s="11">
        <f t="shared" si="42"/>
        <v>36641.998866</v>
      </c>
      <c r="O22" s="25">
        <f t="shared" si="43"/>
        <v>25.820129259920634</v>
      </c>
      <c r="P22" s="26">
        <f t="shared" si="43"/>
        <v>24.234126234126986</v>
      </c>
      <c r="R22" s="6" t="s">
        <v>30</v>
      </c>
      <c r="S22" s="7">
        <f>17149.78/12*13</f>
        <v>18578.928333333333</v>
      </c>
      <c r="T22" s="8">
        <f t="shared" si="44"/>
        <v>7090.676666666666</v>
      </c>
      <c r="U22" s="7">
        <f>177.72/12*13</f>
        <v>192.53</v>
      </c>
      <c r="V22" s="7">
        <v>2350.06</v>
      </c>
      <c r="W22" s="7"/>
      <c r="X22" s="7">
        <f t="shared" si="45"/>
        <v>28212.195</v>
      </c>
      <c r="Y22" s="19">
        <f t="shared" si="46"/>
        <v>0</v>
      </c>
    </row>
    <row r="23" spans="1:25" s="4" customFormat="1" ht="15">
      <c r="A23" s="6" t="str">
        <f t="shared" si="31"/>
        <v>D4</v>
      </c>
      <c r="B23" s="7">
        <f t="shared" si="32"/>
        <v>18588.62</v>
      </c>
      <c r="C23" s="7">
        <f t="shared" si="33"/>
        <v>1549.0516666666665</v>
      </c>
      <c r="D23" s="8">
        <f t="shared" si="34"/>
        <v>6545.24</v>
      </c>
      <c r="E23" s="8">
        <f t="shared" si="35"/>
        <v>545.4366666666666</v>
      </c>
      <c r="F23" s="7">
        <f t="shared" si="36"/>
        <v>2350.06</v>
      </c>
      <c r="G23" s="7"/>
      <c r="H23" s="9">
        <f t="shared" si="37"/>
        <v>29578.408333333336</v>
      </c>
      <c r="I23" s="8">
        <f t="shared" si="38"/>
        <v>7157.974816666667</v>
      </c>
      <c r="J23" s="8">
        <f t="shared" si="15"/>
        <v>1680.0535933333333</v>
      </c>
      <c r="K23" s="8">
        <f t="shared" si="39"/>
        <v>2514.1647083333337</v>
      </c>
      <c r="L23" s="10">
        <f t="shared" si="40"/>
        <v>11352.193118333334</v>
      </c>
      <c r="M23" s="10">
        <f t="shared" si="41"/>
        <v>40930.60145166667</v>
      </c>
      <c r="N23" s="11">
        <f t="shared" si="42"/>
        <v>38416.43674333334</v>
      </c>
      <c r="O23" s="25">
        <f t="shared" si="43"/>
        <v>27.070503605599647</v>
      </c>
      <c r="P23" s="26">
        <f t="shared" si="43"/>
        <v>25.407696258818348</v>
      </c>
      <c r="R23" s="6" t="s">
        <v>31</v>
      </c>
      <c r="S23" s="7">
        <f>18401.54/12*13</f>
        <v>19935.001666666667</v>
      </c>
      <c r="T23" s="8">
        <f t="shared" si="44"/>
        <v>7090.676666666666</v>
      </c>
      <c r="U23" s="7">
        <f>187.08/12*13</f>
        <v>202.67000000000002</v>
      </c>
      <c r="V23" s="7">
        <v>2350.06</v>
      </c>
      <c r="W23" s="7"/>
      <c r="X23" s="7">
        <f t="shared" si="45"/>
        <v>29578.408333333333</v>
      </c>
      <c r="Y23" s="19">
        <f t="shared" si="46"/>
        <v>0</v>
      </c>
    </row>
    <row r="24" spans="1:25" s="4" customFormat="1" ht="15">
      <c r="A24" s="6" t="str">
        <f t="shared" si="31"/>
        <v>D5</v>
      </c>
      <c r="B24" s="7">
        <f t="shared" si="32"/>
        <v>19519.67</v>
      </c>
      <c r="C24" s="7">
        <f t="shared" si="33"/>
        <v>1626.6391666666666</v>
      </c>
      <c r="D24" s="8">
        <f t="shared" si="34"/>
        <v>6545.24</v>
      </c>
      <c r="E24" s="8">
        <f t="shared" si="35"/>
        <v>545.4366666666666</v>
      </c>
      <c r="F24" s="7">
        <f t="shared" si="36"/>
        <v>2350.06</v>
      </c>
      <c r="G24" s="7"/>
      <c r="H24" s="9">
        <f t="shared" si="37"/>
        <v>30587.045833333334</v>
      </c>
      <c r="I24" s="8">
        <f t="shared" si="38"/>
        <v>7402.065091666666</v>
      </c>
      <c r="J24" s="8">
        <f t="shared" si="15"/>
        <v>1737.3442033333333</v>
      </c>
      <c r="K24" s="8">
        <f t="shared" si="39"/>
        <v>2599.8988958333334</v>
      </c>
      <c r="L24" s="10">
        <f t="shared" si="40"/>
        <v>11739.308190833333</v>
      </c>
      <c r="M24" s="10">
        <f t="shared" si="41"/>
        <v>42326.35402416666</v>
      </c>
      <c r="N24" s="11">
        <f t="shared" si="42"/>
        <v>39726.45512833333</v>
      </c>
      <c r="O24" s="25">
        <f t="shared" si="43"/>
        <v>27.993620386353612</v>
      </c>
      <c r="P24" s="26">
        <f t="shared" si="43"/>
        <v>26.27411053461199</v>
      </c>
      <c r="R24" s="6" t="s">
        <v>32</v>
      </c>
      <c r="S24" s="7">
        <f>19325.63/12*13</f>
        <v>20936.099166666667</v>
      </c>
      <c r="T24" s="8">
        <f t="shared" si="44"/>
        <v>7090.676666666666</v>
      </c>
      <c r="U24" s="7">
        <f>194.04/12*13</f>
        <v>210.20999999999998</v>
      </c>
      <c r="V24" s="7">
        <v>2350.06</v>
      </c>
      <c r="W24" s="7"/>
      <c r="X24" s="7">
        <f t="shared" si="45"/>
        <v>30587.045833333334</v>
      </c>
      <c r="Y24" s="19">
        <f t="shared" si="46"/>
        <v>0</v>
      </c>
    </row>
    <row r="25" spans="1:25" s="4" customFormat="1" ht="15">
      <c r="A25" s="6" t="str">
        <f t="shared" si="31"/>
        <v>D6</v>
      </c>
      <c r="B25" s="7">
        <f t="shared" si="32"/>
        <v>20495.190000000002</v>
      </c>
      <c r="C25" s="7">
        <f t="shared" si="33"/>
        <v>1707.9325000000001</v>
      </c>
      <c r="D25" s="8">
        <f t="shared" si="34"/>
        <v>6545.24</v>
      </c>
      <c r="E25" s="8">
        <f t="shared" si="35"/>
        <v>545.4366666666666</v>
      </c>
      <c r="F25" s="7">
        <f t="shared" si="36"/>
        <v>2350.06</v>
      </c>
      <c r="G25" s="7"/>
      <c r="H25" s="9">
        <f t="shared" si="37"/>
        <v>31643.859166666673</v>
      </c>
      <c r="I25" s="8">
        <f t="shared" si="38"/>
        <v>7657.813918333334</v>
      </c>
      <c r="J25" s="8">
        <f t="shared" si="15"/>
        <v>1797.371200666667</v>
      </c>
      <c r="K25" s="8">
        <f t="shared" si="39"/>
        <v>2689.7280291666675</v>
      </c>
      <c r="L25" s="10">
        <f t="shared" si="40"/>
        <v>12144.91314816667</v>
      </c>
      <c r="M25" s="10">
        <f t="shared" si="41"/>
        <v>43788.772314833346</v>
      </c>
      <c r="N25" s="11">
        <f t="shared" si="42"/>
        <v>41099.04428566668</v>
      </c>
      <c r="O25" s="25">
        <f t="shared" si="43"/>
        <v>28.960828250551156</v>
      </c>
      <c r="P25" s="26">
        <f t="shared" si="43"/>
        <v>27.181907596340395</v>
      </c>
      <c r="R25" s="6" t="s">
        <v>33</v>
      </c>
      <c r="S25" s="7">
        <f>20293.95/12*13</f>
        <v>21985.112500000003</v>
      </c>
      <c r="T25" s="8">
        <f t="shared" si="44"/>
        <v>7090.676666666666</v>
      </c>
      <c r="U25" s="7">
        <f>201.24/12*13</f>
        <v>218.01</v>
      </c>
      <c r="V25" s="7">
        <v>2350.06</v>
      </c>
      <c r="W25" s="7"/>
      <c r="X25" s="7">
        <f t="shared" si="45"/>
        <v>31643.85916666667</v>
      </c>
      <c r="Y25" s="19">
        <f t="shared" si="46"/>
        <v>0</v>
      </c>
    </row>
    <row r="26" spans="1:25" s="4" customFormat="1" ht="15">
      <c r="A26" s="6" t="str">
        <f t="shared" si="31"/>
        <v>D7</v>
      </c>
      <c r="B26" s="7">
        <f t="shared" si="32"/>
        <v>21510.77</v>
      </c>
      <c r="C26" s="7">
        <f t="shared" si="33"/>
        <v>1792.5641666666668</v>
      </c>
      <c r="D26" s="8">
        <f t="shared" si="34"/>
        <v>6545.24</v>
      </c>
      <c r="E26" s="8">
        <f t="shared" si="35"/>
        <v>545.4366666666666</v>
      </c>
      <c r="F26" s="7">
        <f t="shared" si="36"/>
        <v>2350.06</v>
      </c>
      <c r="G26" s="7"/>
      <c r="H26" s="9">
        <f t="shared" si="37"/>
        <v>32744.070833333335</v>
      </c>
      <c r="I26" s="8">
        <f t="shared" si="38"/>
        <v>7924.065141666667</v>
      </c>
      <c r="J26" s="8">
        <f t="shared" si="15"/>
        <v>1859.8632233333333</v>
      </c>
      <c r="K26" s="8">
        <f t="shared" si="39"/>
        <v>2783.2460208333337</v>
      </c>
      <c r="L26" s="10">
        <f t="shared" si="40"/>
        <v>12567.174385833334</v>
      </c>
      <c r="M26" s="10">
        <f t="shared" si="41"/>
        <v>45311.24521916667</v>
      </c>
      <c r="N26" s="11">
        <f t="shared" si="42"/>
        <v>42527.99919833333</v>
      </c>
      <c r="O26" s="25">
        <f t="shared" si="43"/>
        <v>29.967754774581127</v>
      </c>
      <c r="P26" s="26">
        <f t="shared" si="43"/>
        <v>28.126983596781304</v>
      </c>
      <c r="R26" s="6" t="s">
        <v>34</v>
      </c>
      <c r="S26" s="7">
        <f>21301.97/12*13</f>
        <v>23077.134166666667</v>
      </c>
      <c r="T26" s="8">
        <f t="shared" si="44"/>
        <v>7090.676666666666</v>
      </c>
      <c r="U26" s="7">
        <f>208.8/12*13</f>
        <v>226.20000000000002</v>
      </c>
      <c r="V26" s="7">
        <v>2350.06</v>
      </c>
      <c r="W26" s="7"/>
      <c r="X26" s="7">
        <f t="shared" si="45"/>
        <v>32744.070833333335</v>
      </c>
      <c r="Y26" s="19">
        <f t="shared" si="46"/>
        <v>0</v>
      </c>
    </row>
    <row r="27" spans="1:24" s="23" customFormat="1" ht="17.25" customHeight="1">
      <c r="A27" s="31" t="s">
        <v>52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X27" s="24"/>
    </row>
    <row r="28" spans="1:25" s="12" customFormat="1" ht="15">
      <c r="A28" s="6" t="str">
        <f aca="true" t="shared" si="47" ref="A28:A34">R28</f>
        <v>EP1</v>
      </c>
      <c r="B28" s="7">
        <f aca="true" t="shared" si="48" ref="B28:B34">(S28+U28)/13*12</f>
        <v>18082.56</v>
      </c>
      <c r="C28" s="7">
        <f aca="true" t="shared" si="49" ref="C28:C34">(S28+U28)/13</f>
        <v>1506.88</v>
      </c>
      <c r="D28" s="8">
        <f aca="true" t="shared" si="50" ref="D28:D34">T28/13*12</f>
        <v>6682.26</v>
      </c>
      <c r="E28" s="8">
        <f aca="true" t="shared" si="51" ref="E28:E34">T28/13</f>
        <v>556.855</v>
      </c>
      <c r="F28" s="7">
        <f aca="true" t="shared" si="52" ref="F28:G34">V28</f>
        <v>3051.5333333333338</v>
      </c>
      <c r="G28" s="7">
        <f>W28</f>
        <v>3357.25</v>
      </c>
      <c r="H28" s="9">
        <f>SUM(B28:G28)</f>
        <v>33237.33833333333</v>
      </c>
      <c r="I28" s="8">
        <f aca="true" t="shared" si="53" ref="I28:I34">H28*0.242</f>
        <v>8043.435876666666</v>
      </c>
      <c r="J28" s="8">
        <f t="shared" si="15"/>
        <v>1887.8808173333334</v>
      </c>
      <c r="K28" s="8">
        <f t="shared" si="39"/>
        <v>2825.1737583333334</v>
      </c>
      <c r="L28" s="10">
        <f aca="true" t="shared" si="54" ref="L28:L34">SUM(I28:K28)</f>
        <v>12756.490452333332</v>
      </c>
      <c r="M28" s="10">
        <f aca="true" t="shared" si="55" ref="M28:M34">H28+L28</f>
        <v>45993.828785666665</v>
      </c>
      <c r="N28" s="11">
        <f aca="true" t="shared" si="56" ref="N28:N34">M28-K28</f>
        <v>43168.655027333334</v>
      </c>
      <c r="O28" s="25">
        <f aca="true" t="shared" si="57" ref="O28:P34">M28/$P$2</f>
        <v>30.419198932319222</v>
      </c>
      <c r="P28" s="26">
        <f t="shared" si="57"/>
        <v>28.550697769400355</v>
      </c>
      <c r="R28" s="6" t="s">
        <v>35</v>
      </c>
      <c r="S28" s="7">
        <f>17898.24/12*13</f>
        <v>19389.760000000002</v>
      </c>
      <c r="T28" s="8">
        <f>6682.26/12*13</f>
        <v>7239.115</v>
      </c>
      <c r="U28" s="7">
        <f>184.32/12*13</f>
        <v>199.68</v>
      </c>
      <c r="V28" s="7">
        <f>2816.8/12*13</f>
        <v>3051.5333333333338</v>
      </c>
      <c r="W28" s="7">
        <f>3099/12*13</f>
        <v>3357.25</v>
      </c>
      <c r="X28" s="7">
        <f>SUM(S28:W28)</f>
        <v>33237.33833333333</v>
      </c>
      <c r="Y28" s="19">
        <f aca="true" t="shared" si="58" ref="Y28:Y34">H28-X28</f>
        <v>0</v>
      </c>
    </row>
    <row r="29" spans="1:25" s="4" customFormat="1" ht="15">
      <c r="A29" s="6" t="str">
        <f t="shared" si="47"/>
        <v>EP2</v>
      </c>
      <c r="B29" s="7">
        <f t="shared" si="48"/>
        <v>19721.19</v>
      </c>
      <c r="C29" s="7">
        <f t="shared" si="49"/>
        <v>1643.4325</v>
      </c>
      <c r="D29" s="8">
        <f t="shared" si="50"/>
        <v>6682.26</v>
      </c>
      <c r="E29" s="8">
        <f t="shared" si="51"/>
        <v>556.855</v>
      </c>
      <c r="F29" s="7">
        <f t="shared" si="52"/>
        <v>3051.5333333333338</v>
      </c>
      <c r="G29" s="7">
        <f t="shared" si="52"/>
        <v>3357.25</v>
      </c>
      <c r="H29" s="9">
        <f aca="true" t="shared" si="59" ref="H29:H34">SUM(B29:G29)</f>
        <v>35012.52083333333</v>
      </c>
      <c r="I29" s="8">
        <f t="shared" si="53"/>
        <v>8473.030041666665</v>
      </c>
      <c r="J29" s="8">
        <f t="shared" si="15"/>
        <v>1988.7111833333329</v>
      </c>
      <c r="K29" s="8">
        <f t="shared" si="39"/>
        <v>2976.064270833333</v>
      </c>
      <c r="L29" s="10">
        <f t="shared" si="54"/>
        <v>13437.80549583333</v>
      </c>
      <c r="M29" s="10">
        <f t="shared" si="55"/>
        <v>48450.32632916666</v>
      </c>
      <c r="N29" s="11">
        <f t="shared" si="56"/>
        <v>45474.26205833333</v>
      </c>
      <c r="O29" s="25">
        <f t="shared" si="57"/>
        <v>32.04386661981922</v>
      </c>
      <c r="P29" s="26">
        <f t="shared" si="57"/>
        <v>30.07557014440035</v>
      </c>
      <c r="R29" s="6" t="s">
        <v>36</v>
      </c>
      <c r="S29" s="7">
        <f>19524.63/12*13</f>
        <v>21151.6825</v>
      </c>
      <c r="T29" s="8">
        <f>6682.26/12*13</f>
        <v>7239.115</v>
      </c>
      <c r="U29" s="7">
        <f>196.56/12*13</f>
        <v>212.94</v>
      </c>
      <c r="V29" s="7">
        <f>2816.8/12*13</f>
        <v>3051.5333333333338</v>
      </c>
      <c r="W29" s="7">
        <f aca="true" t="shared" si="60" ref="W29:W34">3099/12*13</f>
        <v>3357.25</v>
      </c>
      <c r="X29" s="7">
        <f aca="true" t="shared" si="61" ref="X29:X34">SUM(S29:W29)</f>
        <v>35012.52083333333</v>
      </c>
      <c r="Y29" s="19">
        <f t="shared" si="58"/>
        <v>0</v>
      </c>
    </row>
    <row r="30" spans="1:25" s="4" customFormat="1" ht="15">
      <c r="A30" s="6" t="str">
        <f t="shared" si="47"/>
        <v>EP3</v>
      </c>
      <c r="B30" s="7">
        <f t="shared" si="48"/>
        <v>21274.089999999997</v>
      </c>
      <c r="C30" s="7">
        <f t="shared" si="49"/>
        <v>1772.8408333333332</v>
      </c>
      <c r="D30" s="8">
        <f t="shared" si="50"/>
        <v>6682.26</v>
      </c>
      <c r="E30" s="8">
        <f t="shared" si="51"/>
        <v>556.855</v>
      </c>
      <c r="F30" s="7">
        <f t="shared" si="52"/>
        <v>3051.5333333333338</v>
      </c>
      <c r="G30" s="7">
        <f t="shared" si="52"/>
        <v>3357.25</v>
      </c>
      <c r="H30" s="9">
        <f t="shared" si="59"/>
        <v>36694.82916666666</v>
      </c>
      <c r="I30" s="8">
        <f t="shared" si="53"/>
        <v>8880.148658333332</v>
      </c>
      <c r="J30" s="8">
        <f t="shared" si="15"/>
        <v>2084.266296666666</v>
      </c>
      <c r="K30" s="8">
        <f t="shared" si="39"/>
        <v>3119.0604791666665</v>
      </c>
      <c r="L30" s="10">
        <f t="shared" si="54"/>
        <v>14083.475434166665</v>
      </c>
      <c r="M30" s="10">
        <f t="shared" si="55"/>
        <v>50778.304600833326</v>
      </c>
      <c r="N30" s="11">
        <f t="shared" si="56"/>
        <v>47659.24412166666</v>
      </c>
      <c r="O30" s="25">
        <f t="shared" si="57"/>
        <v>33.58353478891093</v>
      </c>
      <c r="P30" s="26">
        <f t="shared" si="57"/>
        <v>31.52066410163139</v>
      </c>
      <c r="R30" s="6" t="s">
        <v>37</v>
      </c>
      <c r="S30" s="7">
        <f>21066.01/12*13</f>
        <v>22821.510833333334</v>
      </c>
      <c r="T30" s="8">
        <f>6682.26/12*13</f>
        <v>7239.115</v>
      </c>
      <c r="U30" s="7">
        <f>208.08/12*13</f>
        <v>225.42</v>
      </c>
      <c r="V30" s="7">
        <f>2816.8/12*13</f>
        <v>3051.5333333333338</v>
      </c>
      <c r="W30" s="7">
        <f t="shared" si="60"/>
        <v>3357.25</v>
      </c>
      <c r="X30" s="7">
        <f t="shared" si="61"/>
        <v>36694.82916666666</v>
      </c>
      <c r="Y30" s="19">
        <f t="shared" si="58"/>
        <v>0</v>
      </c>
    </row>
    <row r="31" spans="1:25" s="4" customFormat="1" ht="15">
      <c r="A31" s="6" t="str">
        <f t="shared" si="47"/>
        <v>EP4</v>
      </c>
      <c r="B31" s="7">
        <f t="shared" si="48"/>
        <v>23432.089999999997</v>
      </c>
      <c r="C31" s="7">
        <f t="shared" si="49"/>
        <v>1952.6741666666665</v>
      </c>
      <c r="D31" s="8">
        <f t="shared" si="50"/>
        <v>6818.23</v>
      </c>
      <c r="E31" s="8">
        <f t="shared" si="51"/>
        <v>568.1858333333333</v>
      </c>
      <c r="F31" s="7">
        <f t="shared" si="52"/>
        <v>4039.9341666666664</v>
      </c>
      <c r="G31" s="7">
        <f t="shared" si="52"/>
        <v>3357.25</v>
      </c>
      <c r="H31" s="9">
        <f t="shared" si="59"/>
        <v>40168.364166666666</v>
      </c>
      <c r="I31" s="8">
        <f t="shared" si="53"/>
        <v>9720.744128333334</v>
      </c>
      <c r="J31" s="8">
        <f t="shared" si="15"/>
        <v>2281.563084666667</v>
      </c>
      <c r="K31" s="8">
        <f t="shared" si="39"/>
        <v>3414.3109541666668</v>
      </c>
      <c r="L31" s="10">
        <f t="shared" si="54"/>
        <v>15416.618167166667</v>
      </c>
      <c r="M31" s="10">
        <f t="shared" si="55"/>
        <v>55584.98233383334</v>
      </c>
      <c r="N31" s="11">
        <f t="shared" si="56"/>
        <v>52170.67137966667</v>
      </c>
      <c r="O31" s="25">
        <f t="shared" si="57"/>
        <v>36.762554453593474</v>
      </c>
      <c r="P31" s="26">
        <f t="shared" si="57"/>
        <v>34.504412288139335</v>
      </c>
      <c r="R31" s="6" t="s">
        <v>38</v>
      </c>
      <c r="S31" s="7">
        <f>23206.85/12*13</f>
        <v>25140.754166666666</v>
      </c>
      <c r="T31" s="8">
        <f>6818.23/12*13</f>
        <v>7386.4158333333335</v>
      </c>
      <c r="U31" s="7">
        <f>225.24/12*13</f>
        <v>244.01</v>
      </c>
      <c r="V31" s="7">
        <f>3729.17/12*13</f>
        <v>4039.9341666666664</v>
      </c>
      <c r="W31" s="7">
        <f t="shared" si="60"/>
        <v>3357.25</v>
      </c>
      <c r="X31" s="7">
        <f t="shared" si="61"/>
        <v>40168.364166666666</v>
      </c>
      <c r="Y31" s="19">
        <f t="shared" si="58"/>
        <v>0</v>
      </c>
    </row>
    <row r="32" spans="1:25" s="4" customFormat="1" ht="15">
      <c r="A32" s="6" t="str">
        <f t="shared" si="47"/>
        <v>EP5</v>
      </c>
      <c r="B32" s="7">
        <f t="shared" si="48"/>
        <v>24831.969999999994</v>
      </c>
      <c r="C32" s="7">
        <f t="shared" si="49"/>
        <v>2069.330833333333</v>
      </c>
      <c r="D32" s="8">
        <f t="shared" si="50"/>
        <v>6818.23</v>
      </c>
      <c r="E32" s="8">
        <f t="shared" si="51"/>
        <v>568.1858333333333</v>
      </c>
      <c r="F32" s="7">
        <f t="shared" si="52"/>
        <v>4039.9341666666664</v>
      </c>
      <c r="G32" s="7">
        <f t="shared" si="52"/>
        <v>3357.25</v>
      </c>
      <c r="H32" s="9">
        <f t="shared" si="59"/>
        <v>41684.900833333326</v>
      </c>
      <c r="I32" s="8">
        <f t="shared" si="53"/>
        <v>10087.746001666665</v>
      </c>
      <c r="J32" s="8">
        <f t="shared" si="15"/>
        <v>2367.702367333333</v>
      </c>
      <c r="K32" s="8">
        <f t="shared" si="39"/>
        <v>3543.2165708333328</v>
      </c>
      <c r="L32" s="10">
        <f t="shared" si="54"/>
        <v>15998.66493983333</v>
      </c>
      <c r="M32" s="10">
        <f t="shared" si="55"/>
        <v>57683.56577316666</v>
      </c>
      <c r="N32" s="11">
        <f t="shared" si="56"/>
        <v>54140.349202333324</v>
      </c>
      <c r="O32" s="25">
        <f t="shared" si="57"/>
        <v>38.150506463734565</v>
      </c>
      <c r="P32" s="26">
        <f t="shared" si="57"/>
        <v>35.80710926080246</v>
      </c>
      <c r="R32" s="6" t="s">
        <v>39</v>
      </c>
      <c r="S32" s="7">
        <f>24596.41/12*13</f>
        <v>26646.110833333332</v>
      </c>
      <c r="T32" s="8">
        <f>6818.23/12*13</f>
        <v>7386.4158333333335</v>
      </c>
      <c r="U32" s="7">
        <f>235.56/12*13</f>
        <v>255.19</v>
      </c>
      <c r="V32" s="7">
        <f>3729.17/12*13</f>
        <v>4039.9341666666664</v>
      </c>
      <c r="W32" s="7">
        <f t="shared" si="60"/>
        <v>3357.25</v>
      </c>
      <c r="X32" s="7">
        <f t="shared" si="61"/>
        <v>41684.90083333333</v>
      </c>
      <c r="Y32" s="19">
        <f t="shared" si="58"/>
        <v>0</v>
      </c>
    </row>
    <row r="33" spans="1:25" s="4" customFormat="1" ht="15">
      <c r="A33" s="6" t="str">
        <f t="shared" si="47"/>
        <v>EP6</v>
      </c>
      <c r="B33" s="7">
        <f t="shared" si="48"/>
        <v>26130.33</v>
      </c>
      <c r="C33" s="7">
        <f t="shared" si="49"/>
        <v>2177.5275</v>
      </c>
      <c r="D33" s="8">
        <f t="shared" si="50"/>
        <v>6818.23</v>
      </c>
      <c r="E33" s="8">
        <f t="shared" si="51"/>
        <v>568.1858333333333</v>
      </c>
      <c r="F33" s="7">
        <f t="shared" si="52"/>
        <v>4039.9341666666664</v>
      </c>
      <c r="G33" s="7">
        <f t="shared" si="52"/>
        <v>3357.25</v>
      </c>
      <c r="H33" s="9">
        <f t="shared" si="59"/>
        <v>43091.457500000004</v>
      </c>
      <c r="I33" s="8">
        <f t="shared" si="53"/>
        <v>10428.132715000002</v>
      </c>
      <c r="J33" s="8">
        <f t="shared" si="15"/>
        <v>2447.594786</v>
      </c>
      <c r="K33" s="8">
        <f t="shared" si="39"/>
        <v>3662.7738875000005</v>
      </c>
      <c r="L33" s="10">
        <f t="shared" si="54"/>
        <v>16538.5013885</v>
      </c>
      <c r="M33" s="10">
        <f t="shared" si="55"/>
        <v>59629.958888500005</v>
      </c>
      <c r="N33" s="11">
        <f t="shared" si="56"/>
        <v>55967.185001000005</v>
      </c>
      <c r="O33" s="25">
        <f t="shared" si="57"/>
        <v>39.43780349768519</v>
      </c>
      <c r="P33" s="26">
        <f t="shared" si="57"/>
        <v>37.015333995370376</v>
      </c>
      <c r="R33" s="6" t="s">
        <v>40</v>
      </c>
      <c r="S33" s="7">
        <f>25885.05/12*13</f>
        <v>28042.1375</v>
      </c>
      <c r="T33" s="8">
        <f>6818.23/12*13</f>
        <v>7386.4158333333335</v>
      </c>
      <c r="U33" s="7">
        <f>245.28/12*13</f>
        <v>265.72</v>
      </c>
      <c r="V33" s="7">
        <f>3729.17/12*13</f>
        <v>4039.9341666666664</v>
      </c>
      <c r="W33" s="7">
        <f t="shared" si="60"/>
        <v>3357.25</v>
      </c>
      <c r="X33" s="7">
        <f t="shared" si="61"/>
        <v>43091.457500000004</v>
      </c>
      <c r="Y33" s="19">
        <f t="shared" si="58"/>
        <v>0</v>
      </c>
    </row>
    <row r="34" spans="1:25" s="4" customFormat="1" ht="15">
      <c r="A34" s="6" t="str">
        <f t="shared" si="47"/>
        <v>EP7</v>
      </c>
      <c r="B34" s="7">
        <f t="shared" si="48"/>
        <v>27486.879999999997</v>
      </c>
      <c r="C34" s="7">
        <f t="shared" si="49"/>
        <v>2290.5733333333333</v>
      </c>
      <c r="D34" s="8">
        <f t="shared" si="50"/>
        <v>6818.23</v>
      </c>
      <c r="E34" s="8">
        <f t="shared" si="51"/>
        <v>568.1858333333333</v>
      </c>
      <c r="F34" s="7">
        <f t="shared" si="52"/>
        <v>4039.9341666666664</v>
      </c>
      <c r="G34" s="7">
        <f t="shared" si="52"/>
        <v>3357.25</v>
      </c>
      <c r="H34" s="9">
        <f t="shared" si="59"/>
        <v>44561.05333333334</v>
      </c>
      <c r="I34" s="8">
        <f t="shared" si="53"/>
        <v>10783.774906666667</v>
      </c>
      <c r="J34" s="8">
        <f t="shared" si="15"/>
        <v>2531.0678293333335</v>
      </c>
      <c r="K34" s="8">
        <f t="shared" si="39"/>
        <v>3787.689533333334</v>
      </c>
      <c r="L34" s="10">
        <f t="shared" si="54"/>
        <v>17102.532269333336</v>
      </c>
      <c r="M34" s="10">
        <f t="shared" si="55"/>
        <v>61663.58560266667</v>
      </c>
      <c r="N34" s="11">
        <f t="shared" si="56"/>
        <v>57875.896069333336</v>
      </c>
      <c r="O34" s="25">
        <f t="shared" si="57"/>
        <v>40.78279471075838</v>
      </c>
      <c r="P34" s="26">
        <f t="shared" si="57"/>
        <v>38.277709040564375</v>
      </c>
      <c r="R34" s="6" t="s">
        <v>41</v>
      </c>
      <c r="S34" s="7">
        <f>27231.52/12*13</f>
        <v>29500.813333333335</v>
      </c>
      <c r="T34" s="8">
        <f>6818.23/12*13</f>
        <v>7386.4158333333335</v>
      </c>
      <c r="U34" s="7">
        <f>255.36/12*13</f>
        <v>276.64</v>
      </c>
      <c r="V34" s="7">
        <f>3729.17/12*13</f>
        <v>4039.9341666666664</v>
      </c>
      <c r="W34" s="7">
        <f t="shared" si="60"/>
        <v>3357.25</v>
      </c>
      <c r="X34" s="7">
        <f t="shared" si="61"/>
        <v>44561.05333333334</v>
      </c>
      <c r="Y34" s="19">
        <f t="shared" si="58"/>
        <v>0</v>
      </c>
    </row>
  </sheetData>
  <sheetProtection password="A82F" sheet="1" selectLockedCells="1"/>
  <mergeCells count="7">
    <mergeCell ref="A1:P1"/>
    <mergeCell ref="A19:P19"/>
    <mergeCell ref="A27:P27"/>
    <mergeCell ref="A2:O2"/>
    <mergeCell ref="A4:P4"/>
    <mergeCell ref="R4:X4"/>
    <mergeCell ref="A11:P11"/>
  </mergeCells>
  <printOptions horizontalCentered="1"/>
  <pageMargins left="0.15748031496062992" right="0.15748031496062992" top="0.31" bottom="0.19" header="0.17" footer="0.17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SEC.UNIV.DEGLI STUDI  DI NAPOLI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56939</dc:creator>
  <cp:keywords/>
  <dc:description/>
  <cp:lastModifiedBy>FUJITSU</cp:lastModifiedBy>
  <cp:lastPrinted>2016-11-12T17:37:43Z</cp:lastPrinted>
  <dcterms:created xsi:type="dcterms:W3CDTF">2003-09-15T06:49:47Z</dcterms:created>
  <dcterms:modified xsi:type="dcterms:W3CDTF">2018-03-20T13:37:18Z</dcterms:modified>
  <cp:category/>
  <cp:version/>
  <cp:contentType/>
  <cp:contentStatus/>
</cp:coreProperties>
</file>